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<sst xmlns="http://schemas.openxmlformats.org/spreadsheetml/2006/main" count="145" uniqueCount="140">
  <si>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</si>
  <si>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</si>
  <si>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</si>
  <si>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</si>
  <si>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</si>
  <si>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</si>
  <si>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</si>
  <si>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</si>
  <si>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</si>
  <si>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</si>
  <si>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</si>
  <si>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</si>
  <si>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</si>
  <si>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</si>
  <si>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</si>
  <si>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</si>
  <si>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</si>
  <si>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</si>
  <si>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</si>
  <si>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</si>
  <si>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</si>
  <si>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</si>
  <si>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</si>
  <si>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</si>
  <si>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</si>
  <si>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</si>
  <si>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</si>
  <si>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</si>
  <si>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</si>
  <si>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</si>
  <si>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</si>
  <si>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</si>
  <si>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</si>
  <si>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</si>
  <si>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</si>
  <si>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</si>
  <si>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</si>
  <si>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</si>
  <si>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</si>
  <si>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</si>
  <si>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</si>
  <si>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</si>
  <si>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</si>
  <si>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</si>
  <si>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</si>
  <si>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</si>
  <si>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</si>
  <si>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</si>
  <si>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</si>
  <si>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</si>
  <si>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</si>
  <si>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</si>
  <si>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</si>
  <si>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</si>
  <si>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</si>
  <si>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</si>
  <si>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</si>
  <si>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</si>
  <si>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</si>
  <si>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</si>
  <si>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</si>
  <si>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</si>
  <si>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</si>
  <si>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</si>
  <si>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</si>
  <si>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</si>
  <si>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</si>
  <si>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</si>
  <si>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</si>
  <si>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</si>
  <si>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</si>
  <si>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</si>
  <si>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</si>
  <si>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</si>
  <si>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</si>
  <si>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</si>
  <si>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</si>
  <si>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</si>
  <si>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</si>
  <si>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</si>
  <si>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</si>
  <si>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</si>
  <si>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</si>
  <si>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</si>
  <si>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</si>
  <si>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</si>
  <si>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</si>
  <si>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</si>
  <si>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</si>
  <si>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</si>
  <si>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</si>
  <si>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</si>
  <si>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</si>
  <si>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</si>
  <si>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</si>
  <si>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</si>
  <si>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</si>
  <si>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</si>
  <si>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</si>
  <si>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</si>
  <si>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</si>
  <si>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</si>
  <si>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</si>
  <si>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</si>
  <si>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</si>
  <si>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</si>
  <si>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</si>
  <si>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</si>
  <si>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</si>
  <si>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</si>
  <si>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</si>
  <si>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</si>
  <si>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</si>
  <si>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</si>
  <si>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</si>
  <si>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</si>
  <si>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</si>
  <si>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</si>
  <si>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</si>
  <si>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</si>
  <si>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</si>
  <si>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</si>
  <si>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</si>
  <si>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</si>
  <si>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</si>
  <si>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</si>
  <si>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</si>
  <si>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</si>
  <si>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</si>
  <si>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</si>
  <si>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</si>
  <si>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</si>
  <si>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</si>
  <si>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</si>
  <si>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</si>
  <si>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</si>
  <si>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</si>
  <si>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10 місяців</t>
  </si>
  <si>
    <t>Залишок призначень до плану 10 місяців</t>
  </si>
  <si>
    <t>Касові видатки станом на 17.10.18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</si>
</sst>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27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L31" sqref="AL3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8" width="0" style="2" hidden="1" customWidth="1"/>
    <col min="29" max="16384" width="9.33203125" style="2" customWidth="1"/>
  </cols>
  <sheetData>
    <row r="1" spans="4:7" ht="74.25" customHeight="1" hidden="1">
      <c r="D1" s="101" t="s">
        <v>14</v>
      </c>
      <c r="E1" s="102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85" t="s">
        <v>15</v>
      </c>
      <c r="B4" s="85"/>
      <c r="C4" s="85"/>
      <c r="D4" s="85"/>
      <c r="E4" s="85"/>
      <c r="F4" s="85"/>
      <c r="G4" s="85"/>
      <c r="H4" s="85"/>
      <c r="I4" s="85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103" t="s">
        <v>3</v>
      </c>
      <c r="B7" s="13"/>
      <c r="C7" s="103" t="s">
        <v>0</v>
      </c>
      <c r="D7" s="97" t="s">
        <v>1</v>
      </c>
      <c r="E7" s="97" t="s">
        <v>19</v>
      </c>
      <c r="F7" s="97" t="s">
        <v>112</v>
      </c>
      <c r="G7" s="14" t="s">
        <v>113</v>
      </c>
      <c r="H7" s="105" t="s">
        <v>139</v>
      </c>
      <c r="I7" s="89" t="s">
        <v>2</v>
      </c>
      <c r="J7" s="91" t="s">
        <v>137</v>
      </c>
    </row>
    <row r="8" spans="1:25" ht="39.75" customHeight="1">
      <c r="A8" s="103"/>
      <c r="B8" s="1" t="s">
        <v>20</v>
      </c>
      <c r="C8" s="103"/>
      <c r="D8" s="97"/>
      <c r="E8" s="97"/>
      <c r="F8" s="97"/>
      <c r="G8" s="52" t="s">
        <v>114</v>
      </c>
      <c r="H8" s="106"/>
      <c r="I8" s="90"/>
      <c r="J8" s="92"/>
      <c r="L8" s="95" t="s">
        <v>138</v>
      </c>
      <c r="M8" s="89" t="s">
        <v>26</v>
      </c>
      <c r="N8" s="91" t="s">
        <v>27</v>
      </c>
      <c r="O8" s="89" t="s">
        <v>28</v>
      </c>
      <c r="P8" s="89" t="s">
        <v>29</v>
      </c>
      <c r="Q8" s="89" t="s">
        <v>30</v>
      </c>
      <c r="R8" s="89" t="s">
        <v>31</v>
      </c>
      <c r="S8" s="89" t="s">
        <v>32</v>
      </c>
      <c r="T8" s="89" t="s">
        <v>33</v>
      </c>
      <c r="U8" s="89" t="s">
        <v>34</v>
      </c>
      <c r="V8" s="89" t="s">
        <v>35</v>
      </c>
      <c r="W8" s="89" t="s">
        <v>36</v>
      </c>
      <c r="X8" s="89" t="s">
        <v>37</v>
      </c>
      <c r="Y8" s="89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6"/>
      <c r="M9" s="90"/>
      <c r="N9" s="92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15" customFormat="1" ht="19.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83066966.44</v>
      </c>
      <c r="I11" s="38">
        <f aca="true" t="shared" si="0" ref="I11:I18">H11/D11*100</f>
        <v>43.08389837043192</v>
      </c>
      <c r="J11" s="38">
        <f>(H11/(M11+N11+O11+P11+Q11+R11+S11+V11+O29+P29+Q29+R29+S29+T11+T29+U11+U29+V29))*100</f>
        <v>85.76644527868153</v>
      </c>
      <c r="K11" s="40"/>
      <c r="L11" s="49">
        <f>M11+N11+O11+P11+Q11+R11+S11+T11+U11+V11-H12</f>
        <v>4507212.6000000015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2734154.1500000004</v>
      </c>
      <c r="W11" s="46">
        <f t="shared" si="1"/>
        <v>2639154.1500000004</v>
      </c>
      <c r="X11" s="46">
        <f t="shared" si="1"/>
        <v>55891271.18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58871078.36</v>
      </c>
      <c r="I12" s="54">
        <f t="shared" si="0"/>
        <v>48.29111498472001</v>
      </c>
      <c r="J12" s="79">
        <f>(H12/(M11+N11+O11+P11+Q11+R11+S11+T11+U11+V11))*100</f>
        <v>92.88839674953583</v>
      </c>
      <c r="L12" s="45">
        <f>(M12+N12+O12+P12+Q12+R12+S12+T12+U12+V12)-(H13+H16+H17+H18)</f>
        <v>1908911.070000004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</f>
        <v>160800</v>
      </c>
      <c r="W12" s="44">
        <f>936600+1500000-650000-1016222.96</f>
        <v>770377.04</v>
      </c>
      <c r="X12" s="44">
        <f>342435+900000-14000+6745527+14617000-1961276.97</f>
        <v>20629685.03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</f>
        <v>19563843.58</v>
      </c>
      <c r="I13" s="17">
        <f t="shared" si="0"/>
        <v>49.9772134374382</v>
      </c>
      <c r="J13" s="98">
        <f>((H13+H16+H17+H18)/(M12+N12+O12+P12+Q12+R12+S12+T12+U12+V12))*100</f>
        <v>93.2705916630747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</f>
        <v>3516404.9499999997</v>
      </c>
      <c r="I16" s="17">
        <f t="shared" si="0"/>
        <v>58.66737211785511</v>
      </c>
      <c r="J16" s="9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0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32413289.500000004</v>
      </c>
      <c r="I21" s="33">
        <f>H21/D21*100</f>
        <v>44.929874466254915</v>
      </c>
      <c r="J21" s="98">
        <f>(H21/(M21+N21+O21+P21+Q21+R21+S21+T21+U21+V21))*100</f>
        <v>92.57873905880592</v>
      </c>
      <c r="L21" s="50">
        <f>(M21+N21+O21+P21+Q21+R21+S21+T21+U21+V21)-H21</f>
        <v>2598301.5299999975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</f>
        <v>2573354.1500000004</v>
      </c>
      <c r="W21" s="44">
        <f>3424354.15-1500000+3500000+544000-2835800-1263777.04</f>
        <v>1868777.1100000003</v>
      </c>
      <c r="X21" s="44">
        <f>3124354.15-900000+3365442-2835810+34833600-2326000</f>
        <v>35261586.15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</f>
        <v>12384589.650000002</v>
      </c>
      <c r="I22" s="21">
        <f aca="true" t="shared" si="5" ref="I22:I28">H22/D22*100</f>
        <v>48.974335866130545</v>
      </c>
      <c r="J22" s="99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</f>
        <v>1003194.8399999999</v>
      </c>
      <c r="I23" s="21">
        <f t="shared" si="5"/>
        <v>46.06616950703655</v>
      </c>
      <c r="J23" s="99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99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</f>
        <v>794044.0700000001</v>
      </c>
      <c r="I25" s="21">
        <f t="shared" si="5"/>
        <v>57.908292794916264</v>
      </c>
      <c r="J25" s="99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</f>
        <v>3045570.48</v>
      </c>
      <c r="I26" s="21">
        <f t="shared" si="5"/>
        <v>61.692185030049714</v>
      </c>
      <c r="J26" s="99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</f>
        <v>482088.69</v>
      </c>
      <c r="I27" s="21">
        <f t="shared" si="5"/>
        <v>31.266652104189337</v>
      </c>
      <c r="J27" s="99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</f>
        <v>13682694.64</v>
      </c>
      <c r="I28" s="21">
        <f t="shared" si="5"/>
        <v>38.28819325572555</v>
      </c>
      <c r="J28" s="100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24195888.079999994</v>
      </c>
      <c r="I29" s="54">
        <f>H29/D29*100</f>
        <v>34.12962495494406</v>
      </c>
      <c r="J29" s="79">
        <f>(H29/(M29+N29+O29+P29+Q29+R29+S29+T29+U29+V29))*100</f>
        <v>72.28212972324411</v>
      </c>
      <c r="L29" s="50">
        <f>(M29+N29+O29+P29+Q29+R29+S29+T29+U29+V29)-H29</f>
        <v>9278344.310000006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4663839</v>
      </c>
      <c r="W29" s="73">
        <f t="shared" si="8"/>
        <v>5659953.37</v>
      </c>
      <c r="X29" s="73">
        <f t="shared" si="8"/>
        <v>31759907.310000002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(H30/(M30+N30+O30+P30+Q30+R30+S30+T30+U30+V30))*100</f>
        <v>35.333333333333336</v>
      </c>
      <c r="L30" s="45">
        <f>(M30+N30+O30+P30+Q30+R30+S30+T30+U30+V30)-H30</f>
        <v>97000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/>
      <c r="W30" s="70"/>
      <c r="X30" s="75">
        <f>959220</f>
        <v>959220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(H31/(M31+N31+O31+P31+Q31+R31+S31+T31+U31+V31))*100</f>
        <v>15.384615384615385</v>
      </c>
      <c r="L31" s="45">
        <f aca="true" t="shared" si="12" ref="L31:L85">(M31+N31+O31+P31+Q31+R31+S31+T31+U31+V31)-H31</f>
        <v>110000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/>
      <c r="W31" s="70"/>
      <c r="X31" s="75">
        <f>277256</f>
        <v>277256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280316.47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70">
        <f>278000</f>
        <v>278000</v>
      </c>
      <c r="W38" s="70"/>
      <c r="X38" s="70">
        <f>50000</f>
        <v>50000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30000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</f>
        <v>197675.25</v>
      </c>
      <c r="I41" s="17">
        <f t="shared" si="10"/>
        <v>78.61726455615654</v>
      </c>
      <c r="J41" s="51">
        <f t="shared" si="11"/>
        <v>98.837625</v>
      </c>
      <c r="L41" s="45">
        <f t="shared" si="12"/>
        <v>2324.75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36.5</v>
      </c>
      <c r="L42" s="45">
        <f t="shared" si="12"/>
        <v>127000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/>
      <c r="W42" s="70"/>
      <c r="X42" s="75">
        <f>1388602</f>
        <v>1388602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</f>
        <v>179952.02</v>
      </c>
      <c r="I44" s="17">
        <f t="shared" si="10"/>
        <v>89.97601</v>
      </c>
      <c r="J44" s="51">
        <f t="shared" si="11"/>
        <v>89.97601</v>
      </c>
      <c r="L44" s="45">
        <f t="shared" si="12"/>
        <v>20047.98000000001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11.504424778761061</v>
      </c>
      <c r="L45" s="45">
        <f t="shared" si="12"/>
        <v>200000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v>200000</v>
      </c>
      <c r="W45" s="70">
        <f>198000</f>
        <v>198000</v>
      </c>
      <c r="X45" s="70"/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51">
        <f t="shared" si="11"/>
        <v>0</v>
      </c>
      <c r="L47" s="45">
        <f t="shared" si="12"/>
        <v>262000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</f>
        <v>262000</v>
      </c>
      <c r="W47" s="70"/>
      <c r="X47" s="70"/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91538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/>
      <c r="W48" s="70"/>
      <c r="X48" s="70"/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100</v>
      </c>
      <c r="L50" s="45">
        <f t="shared" si="12"/>
        <v>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</f>
        <v>300000</v>
      </c>
      <c r="W57" s="70">
        <f>300000</f>
        <v>300000</v>
      </c>
      <c r="X57" s="70"/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/>
      <c r="I59" s="39"/>
      <c r="J59" s="81" t="e">
        <f t="shared" si="11"/>
        <v>#DIV/0!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/>
      <c r="W59" s="70"/>
      <c r="X59" s="75">
        <f>1455677.6</f>
        <v>1455677.6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784000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</f>
        <v>523500</v>
      </c>
      <c r="W63" s="70"/>
      <c r="X63" s="70">
        <f>726000</f>
        <v>726000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</f>
        <v>4039000</v>
      </c>
      <c r="I64" s="17">
        <f t="shared" si="10"/>
        <v>22.465098170087323</v>
      </c>
      <c r="J64" s="51">
        <f t="shared" si="11"/>
        <v>78.20244733581166</v>
      </c>
      <c r="L64" s="45">
        <f t="shared" si="12"/>
        <v>1125800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</f>
        <v>3773250</v>
      </c>
      <c r="I65" s="77">
        <f t="shared" si="10"/>
        <v>24.565191392349124</v>
      </c>
      <c r="J65" s="51">
        <f t="shared" si="11"/>
        <v>52.36956526500288</v>
      </c>
      <c r="L65" s="45">
        <f t="shared" si="12"/>
        <v>3431793.58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</f>
        <v>671039</v>
      </c>
      <c r="W65" s="75"/>
      <c r="X65" s="75">
        <f>318995.42+7836110</f>
        <v>8155105.42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100</v>
      </c>
      <c r="L66" s="45">
        <f t="shared" si="12"/>
        <v>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115891.03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70">
        <f>115000</f>
        <v>115000</v>
      </c>
      <c r="W74" s="70"/>
      <c r="X74" s="70"/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19.31404678216243</v>
      </c>
      <c r="L75" s="45">
        <f t="shared" si="12"/>
        <v>841410.0399999999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</f>
        <v>400000</v>
      </c>
      <c r="W75" s="70"/>
      <c r="X75" s="70"/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99.99999999999999</v>
      </c>
      <c r="L77" s="45">
        <f t="shared" si="12"/>
        <v>0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/>
      <c r="W77" s="70"/>
      <c r="X77" s="70">
        <f>12881.71</f>
        <v>12881.71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100</v>
      </c>
      <c r="L78" s="45">
        <f t="shared" si="12"/>
        <v>0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/>
      <c r="W78" s="70"/>
      <c r="X78" s="70">
        <f>8227.35</f>
        <v>8227.35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</f>
        <v>961000</v>
      </c>
      <c r="I80" s="77">
        <f t="shared" si="10"/>
        <v>64.06666666666668</v>
      </c>
      <c r="J80" s="51">
        <f t="shared" si="11"/>
        <v>77.42216387729488</v>
      </c>
      <c r="L80" s="45">
        <f t="shared" si="12"/>
        <v>280246.6299999999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</f>
        <v>280000</v>
      </c>
      <c r="W80" s="70">
        <v>21753.37</v>
      </c>
      <c r="X80" s="70">
        <f>237000</f>
        <v>237000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</f>
        <v>215000</v>
      </c>
      <c r="I82" s="17">
        <f t="shared" si="10"/>
        <v>35.833333333333336</v>
      </c>
      <c r="J82" s="51">
        <f t="shared" si="11"/>
        <v>90.71729957805907</v>
      </c>
      <c r="L82" s="45">
        <f t="shared" si="12"/>
        <v>22000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/>
      <c r="W82" s="76"/>
      <c r="X82" s="76">
        <f>600000-237000</f>
        <v>363000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</f>
        <v>1048000</v>
      </c>
      <c r="I84" s="77">
        <f t="shared" si="10"/>
        <v>65.5</v>
      </c>
      <c r="J84" s="51">
        <f t="shared" si="11"/>
        <v>65.5</v>
      </c>
      <c r="L84" s="45">
        <f t="shared" si="12"/>
        <v>552000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/>
      <c r="X84" s="70"/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6" t="s">
        <v>89</v>
      </c>
      <c r="B86" s="87"/>
      <c r="C86" s="87"/>
      <c r="D86" s="87"/>
      <c r="E86" s="87"/>
      <c r="F86" s="87"/>
      <c r="G86" s="88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65172933.28</v>
      </c>
      <c r="I87" s="8">
        <f t="shared" si="10"/>
        <v>44.800282917942916</v>
      </c>
      <c r="J87" s="8">
        <f>(H87/(M87+N87+O87+P87+Q87+R87+S87+T87+U87+V87))*100</f>
        <v>68.7982188491213</v>
      </c>
      <c r="L87" s="50">
        <f>(M87+N87+O87+P87+Q87+R87+S87+T87+U87+V87)-H87</f>
        <v>29557619.88000001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(H88/(M88+N88+O88+P88+Q88+R88+S88+T88+U88+V88))*100</f>
        <v>64.40100625</v>
      </c>
      <c r="L88" s="45">
        <f>(M88+N88+O88+P88+Q88+R88+S88+T88+U88+V88)-H88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</f>
        <v>1497741.39</v>
      </c>
      <c r="I89" s="17">
        <f t="shared" si="10"/>
        <v>25.541789011587195</v>
      </c>
      <c r="J89" s="51">
        <f aca="true" t="shared" si="17" ref="J89:J123">(H89/(M89+N89+O89+P89+Q89+R89+S89+T89+U89+V89))*100</f>
        <v>62.40589125</v>
      </c>
      <c r="L89" s="45">
        <f aca="true" t="shared" si="18" ref="L89:L123">(M89+N89+O89+P89+Q89+R89+S89+T89+U89+V89)-H89</f>
        <v>902258.6100000001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/>
      <c r="I91" s="17"/>
      <c r="J91" s="81" t="e">
        <f t="shared" si="17"/>
        <v>#DIV/0!</v>
      </c>
      <c r="L91" s="45">
        <f t="shared" si="18"/>
        <v>0</v>
      </c>
      <c r="M91" s="66"/>
      <c r="N91" s="66"/>
      <c r="O91" s="66"/>
      <c r="P91" s="66"/>
      <c r="Q91" s="66"/>
      <c r="R91" s="66"/>
      <c r="S91" s="66"/>
      <c r="T91" s="66"/>
      <c r="U91" s="76"/>
      <c r="V91" s="76"/>
      <c r="W91" s="76"/>
      <c r="X91" s="76">
        <v>376676.89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2.0733082706766917</v>
      </c>
      <c r="L93" s="45">
        <f t="shared" si="18"/>
        <v>1302425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/>
      <c r="W93" s="66"/>
      <c r="X93" s="66"/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</f>
        <v>577692</v>
      </c>
      <c r="I94" s="17">
        <f aca="true" t="shared" si="20" ref="I94:I107">H94/D94*100</f>
        <v>3.7031538461538465</v>
      </c>
      <c r="J94" s="51">
        <f t="shared" si="17"/>
        <v>6.155482152370804</v>
      </c>
      <c r="L94" s="45">
        <f t="shared" si="18"/>
        <v>8807308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</f>
        <v>9752</v>
      </c>
      <c r="I95" s="17">
        <f t="shared" si="20"/>
        <v>0.6501333333333333</v>
      </c>
      <c r="J95" s="51">
        <f t="shared" si="17"/>
        <v>97.52</v>
      </c>
      <c r="L95" s="45">
        <f t="shared" si="18"/>
        <v>248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/>
      <c r="W95" s="66"/>
      <c r="X95" s="66">
        <f>1500000-10000</f>
        <v>1490000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</f>
        <v>16736</v>
      </c>
      <c r="I96" s="17">
        <f t="shared" si="20"/>
        <v>5.578666666666667</v>
      </c>
      <c r="J96" s="51">
        <f t="shared" si="17"/>
        <v>5.578666666666667</v>
      </c>
      <c r="L96" s="45">
        <f t="shared" si="18"/>
        <v>283264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81" t="e">
        <f t="shared" si="17"/>
        <v>#DIV/0!</v>
      </c>
      <c r="L97" s="45">
        <f t="shared" si="18"/>
        <v>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81" t="e">
        <f t="shared" si="17"/>
        <v>#DIV/0!</v>
      </c>
      <c r="L98" s="45">
        <f t="shared" si="18"/>
        <v>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91.70570811518324</v>
      </c>
      <c r="L99" s="45">
        <f t="shared" si="18"/>
        <v>253473.56000000006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1600000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</f>
        <v>16070420.400000002</v>
      </c>
      <c r="I101" s="17">
        <f t="shared" si="20"/>
        <v>43.9179708099888</v>
      </c>
      <c r="J101" s="51">
        <f t="shared" si="17"/>
        <v>79.71438690476191</v>
      </c>
      <c r="L101" s="45">
        <f t="shared" si="18"/>
        <v>4089579.5999999978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</f>
        <v>500000</v>
      </c>
      <c r="I103" s="17">
        <f>H103/D103*100</f>
        <v>9.433962264150944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v>100000</v>
      </c>
      <c r="W103" s="75"/>
      <c r="X103" s="75">
        <v>4800000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144050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591000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81" t="e">
        <f t="shared" si="17"/>
        <v>#DIV/0!</v>
      </c>
      <c r="L109" s="45">
        <f t="shared" si="18"/>
        <v>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81" t="e">
        <f t="shared" si="17"/>
        <v>#DIV/0!</v>
      </c>
      <c r="L110" s="45">
        <f t="shared" si="18"/>
        <v>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62.544774999999994</v>
      </c>
      <c r="L111" s="45">
        <f t="shared" si="18"/>
        <v>2996418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</f>
        <v>1486000</v>
      </c>
      <c r="W111" s="66"/>
      <c r="X111" s="66"/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81" t="e">
        <f t="shared" si="17"/>
        <v>#DIV/0!</v>
      </c>
      <c r="L112" s="45">
        <f t="shared" si="18"/>
        <v>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</f>
        <v>4246595.579999999</v>
      </c>
      <c r="I119" s="17">
        <f t="shared" si="21"/>
        <v>43.182790115924334</v>
      </c>
      <c r="J119" s="51">
        <f t="shared" si="17"/>
        <v>60.37241370486208</v>
      </c>
      <c r="L119" s="45">
        <f t="shared" si="18"/>
        <v>2787404.420000001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39.16192357142857</v>
      </c>
      <c r="L121" s="45">
        <f t="shared" si="18"/>
        <v>851733.0700000001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93.28875555555555</v>
      </c>
      <c r="L122" s="45">
        <f t="shared" si="18"/>
        <v>362407.2000000002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440000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148239899.72</v>
      </c>
      <c r="I124" s="8">
        <f t="shared" si="21"/>
        <v>43.82202078772824</v>
      </c>
      <c r="J124" s="84">
        <f>(H124/(M124+N124+O124+P124+Q124+R124+S124+T124+U124+V124))*100</f>
        <v>77.37630192626246</v>
      </c>
      <c r="L124" s="50">
        <f>(M124+N124+O124+P124+Q124+R124+S124+T124+U124+V124)-H124</f>
        <v>43343176.78999999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17831993.15</v>
      </c>
      <c r="W124" s="50">
        <f t="shared" si="22"/>
        <v>24030868.119999997</v>
      </c>
      <c r="X124" s="50">
        <f t="shared" si="22"/>
        <v>122663243.53999999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2018-10-17T13:49:05Z</dcterms:modified>
  <cp:category/>
  <cp:version/>
  <cp:contentType/>
  <cp:contentStatus/>
</cp:coreProperties>
</file>